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" windowWidth="19420" windowHeight="80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M37" i="1" l="1"/>
  <c r="M36" i="1"/>
  <c r="M23" i="1" l="1"/>
  <c r="K23" i="1"/>
  <c r="G9" i="1"/>
  <c r="M15" i="1"/>
  <c r="M16" i="1"/>
  <c r="M17" i="1"/>
  <c r="M18" i="1"/>
  <c r="M19" i="1"/>
  <c r="M20" i="1"/>
  <c r="M21" i="1"/>
  <c r="M22" i="1"/>
  <c r="M24" i="1"/>
  <c r="M14" i="1"/>
  <c r="M26" i="1" l="1"/>
  <c r="M33" i="1"/>
  <c r="K33" i="1"/>
  <c r="M28" i="1"/>
  <c r="K28" i="1"/>
  <c r="M6" i="1"/>
  <c r="K15" i="1"/>
  <c r="K16" i="1"/>
  <c r="K17" i="1"/>
  <c r="K18" i="1"/>
  <c r="K19" i="1"/>
  <c r="K20" i="1"/>
  <c r="K21" i="1"/>
  <c r="K22" i="1"/>
  <c r="K24" i="1"/>
  <c r="K14" i="1"/>
  <c r="K6" i="1"/>
  <c r="H15" i="1"/>
  <c r="H16" i="1"/>
  <c r="H17" i="1"/>
  <c r="H18" i="1"/>
  <c r="H19" i="1"/>
  <c r="H20" i="1"/>
  <c r="H21" i="1"/>
  <c r="H22" i="1"/>
  <c r="H23" i="1"/>
  <c r="H24" i="1"/>
  <c r="H14" i="1"/>
  <c r="H10" i="1"/>
  <c r="M10" i="1" s="1"/>
  <c r="H26" i="1" l="1"/>
  <c r="H30" i="1" s="1"/>
  <c r="M11" i="1"/>
  <c r="M32" i="1" s="1"/>
  <c r="M30" i="1"/>
  <c r="M34" i="1" s="1"/>
  <c r="K26" i="1"/>
  <c r="K30" i="1" s="1"/>
  <c r="H11" i="1"/>
  <c r="H32" i="1" s="1"/>
  <c r="H34" i="1" s="1"/>
  <c r="K10" i="1"/>
  <c r="K11" i="1" s="1"/>
  <c r="K32" i="1" s="1"/>
  <c r="K34" i="1" l="1"/>
</calcChain>
</file>

<file path=xl/sharedStrings.xml><?xml version="1.0" encoding="utf-8"?>
<sst xmlns="http://schemas.openxmlformats.org/spreadsheetml/2006/main" count="83" uniqueCount="46">
  <si>
    <t>Følsomhedsanalyse vedr. eventuelt udvikling af Varde Fritidscenter</t>
  </si>
  <si>
    <t>Eksisterende udgifter</t>
  </si>
  <si>
    <t>Lønninger</t>
  </si>
  <si>
    <t>Forbrug</t>
  </si>
  <si>
    <t>Øvrige vedligeholdelsesomkostninger</t>
  </si>
  <si>
    <t>Indtægter:</t>
  </si>
  <si>
    <t>Nybygning</t>
  </si>
  <si>
    <t>Svømmehal</t>
  </si>
  <si>
    <t>Billetsalg svømmehak (ekstra kunder)</t>
  </si>
  <si>
    <t>kr.</t>
  </si>
  <si>
    <t>Ekstra offentlige køb af tid</t>
  </si>
  <si>
    <t>Babysvømming</t>
  </si>
  <si>
    <t>Billetter til Spa og Wellness</t>
  </si>
  <si>
    <t>Behandlinger (5 behandlinger om dagen)</t>
  </si>
  <si>
    <t>Babysvømming (8 hold, 10 mdr. om året)</t>
  </si>
  <si>
    <t>Fitness</t>
  </si>
  <si>
    <t>Abonnementer</t>
  </si>
  <si>
    <t>Sportshal</t>
  </si>
  <si>
    <t>Lokaletilskud</t>
  </si>
  <si>
    <t>Udlejning privat</t>
  </si>
  <si>
    <t>Events: Messer/udstillinger m.v.</t>
  </si>
  <si>
    <t>Sportel</t>
  </si>
  <si>
    <t>Overnatninger i 39 værelser</t>
  </si>
  <si>
    <t>Café</t>
  </si>
  <si>
    <t>Øgede indtægter svømmehal</t>
  </si>
  <si>
    <t>kr./time</t>
  </si>
  <si>
    <t>kr./stk.</t>
  </si>
  <si>
    <t>stk.</t>
  </si>
  <si>
    <t>timer</t>
  </si>
  <si>
    <t>gange</t>
  </si>
  <si>
    <t>Indtægter ny bygninger</t>
  </si>
  <si>
    <t>Samlede driftomkostninger</t>
  </si>
  <si>
    <t>Eksisterende: samlede inkl. 30.000 brugere a 45 kr. med fradrg af nuværende indtægter</t>
  </si>
  <si>
    <t>Indtægter eksisterende bygninger</t>
  </si>
  <si>
    <t>Samlede driftsindtægter</t>
  </si>
  <si>
    <t>Samlede driftsomkostninger</t>
  </si>
  <si>
    <t>Husleje nyt byggeri</t>
  </si>
  <si>
    <t>Resultat efter husleje</t>
  </si>
  <si>
    <t>Driftsomkostninger af de nye forretningsområder</t>
  </si>
  <si>
    <t>årlig rente</t>
  </si>
  <si>
    <t>Gribskov Gruppen - Tilrettet</t>
  </si>
  <si>
    <t>fratrukket 80% af 500.000 kr. + tillagt 200.000</t>
  </si>
  <si>
    <t>Rente 3,5%</t>
  </si>
  <si>
    <t>2. alt. Scenarie - forventer</t>
  </si>
  <si>
    <t>1. alt. Scenarie Worst case - 30%</t>
  </si>
  <si>
    <t>3.25% af momsrefusionen af 25% af 125 mio.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</si>
</sst>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3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4" fontId="1" fillId="0" borderId="2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4" fontId="0" fillId="0" borderId="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3" fontId="0" fillId="0" borderId="5" xfId="0" applyNumberFormat="1" applyBorder="1"/>
    <xf numFmtId="4" fontId="0" fillId="0" borderId="5" xfId="0" applyNumberFormat="1" applyBorder="1"/>
    <xf numFmtId="3" fontId="0" fillId="0" borderId="7" xfId="0" applyNumberForma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4" fontId="0" fillId="0" borderId="0" xfId="0" applyNumberFormat="1" applyAlignment="1">
      <alignment horizontal="right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B37" sqref="B37"/>
    </sheetView>
  </sheetViews>
  <sheetFormatPr defaultRowHeight="14.5" x14ac:dyDescent="0.35"/>
  <cols>
    <col min="1" max="1" width="12.6328125" customWidth="1"/>
    <col min="2" max="2" width="38.453125" customWidth="1"/>
    <col min="3" max="3" width="10" customWidth="1"/>
    <col min="4" max="4" width="8.6328125" customWidth="1"/>
    <col min="5" max="5" width="13.453125" customWidth="1"/>
    <col min="6" max="6" width="7.36328125" customWidth="1"/>
    <col min="7" max="8" width="14.36328125" customWidth="1"/>
    <col min="9" max="9" width="4" customWidth="1"/>
    <col min="11" max="11" width="14.453125" customWidth="1"/>
    <col min="13" max="13" width="14.36328125" customWidth="1"/>
  </cols>
  <sheetData>
    <row r="1" spans="1:13" x14ac:dyDescent="0.35">
      <c r="A1" s="6" t="s">
        <v>0</v>
      </c>
    </row>
    <row r="4" spans="1:13" ht="32.15" customHeight="1" x14ac:dyDescent="0.3">
      <c r="G4" s="28" t="s">
        <v>40</v>
      </c>
      <c r="H4" s="29"/>
      <c r="I4" s="30"/>
      <c r="J4" s="24" t="s">
        <v>44</v>
      </c>
      <c r="K4" s="25"/>
      <c r="L4" s="26" t="s">
        <v>43</v>
      </c>
      <c r="M4" s="27"/>
    </row>
    <row r="5" spans="1:13" ht="15" x14ac:dyDescent="0.3">
      <c r="J5" s="8"/>
      <c r="K5" s="10"/>
      <c r="L5" s="8"/>
      <c r="M5" s="9"/>
    </row>
    <row r="6" spans="1:13" x14ac:dyDescent="0.35">
      <c r="A6" t="s">
        <v>38</v>
      </c>
      <c r="H6" s="1">
        <v>5685728</v>
      </c>
      <c r="I6" t="s">
        <v>9</v>
      </c>
      <c r="J6" s="8"/>
      <c r="K6" s="12">
        <f>+H6</f>
        <v>5685728</v>
      </c>
      <c r="L6" s="8"/>
      <c r="M6" s="13">
        <f>+H6</f>
        <v>5685728</v>
      </c>
    </row>
    <row r="7" spans="1:13" ht="15" x14ac:dyDescent="0.3">
      <c r="A7" t="s">
        <v>1</v>
      </c>
      <c r="H7" s="1"/>
      <c r="J7" s="8"/>
      <c r="K7" s="10"/>
      <c r="L7" s="8"/>
      <c r="M7" s="9"/>
    </row>
    <row r="8" spans="1:13" x14ac:dyDescent="0.35">
      <c r="A8" t="s">
        <v>2</v>
      </c>
      <c r="G8" s="1">
        <v>8038369</v>
      </c>
      <c r="H8" s="1"/>
      <c r="J8" s="8"/>
      <c r="K8" s="10"/>
      <c r="L8" s="8"/>
      <c r="M8" s="9"/>
    </row>
    <row r="9" spans="1:13" ht="15" x14ac:dyDescent="0.3">
      <c r="A9" t="s">
        <v>3</v>
      </c>
      <c r="C9" t="s">
        <v>41</v>
      </c>
      <c r="G9" s="1">
        <f>1242803-400000+200000</f>
        <v>1042803</v>
      </c>
      <c r="H9" s="1"/>
      <c r="J9" s="8"/>
      <c r="K9" s="10"/>
      <c r="L9" s="8"/>
      <c r="M9" s="9"/>
    </row>
    <row r="10" spans="1:13" x14ac:dyDescent="0.35">
      <c r="A10" t="s">
        <v>4</v>
      </c>
      <c r="G10" s="2">
        <v>4802775</v>
      </c>
      <c r="H10" s="2">
        <f>SUM(G8:G10)</f>
        <v>13883947</v>
      </c>
      <c r="I10" t="s">
        <v>9</v>
      </c>
      <c r="J10" s="8"/>
      <c r="K10" s="14">
        <f>+H10</f>
        <v>13883947</v>
      </c>
      <c r="L10" s="8"/>
      <c r="M10" s="14">
        <f>+H10</f>
        <v>13883947</v>
      </c>
    </row>
    <row r="11" spans="1:13" ht="15" x14ac:dyDescent="0.3">
      <c r="G11" s="4" t="s">
        <v>31</v>
      </c>
      <c r="H11" s="5">
        <f>SUM(H6:H10)</f>
        <v>19569675</v>
      </c>
      <c r="I11" t="s">
        <v>9</v>
      </c>
      <c r="J11" s="8"/>
      <c r="K11" s="12">
        <f>SUM(K6:K10)</f>
        <v>19569675</v>
      </c>
      <c r="L11" s="8"/>
      <c r="M11" s="13">
        <f>SUM(M6:M10)</f>
        <v>19569675</v>
      </c>
    </row>
    <row r="12" spans="1:13" x14ac:dyDescent="0.35">
      <c r="A12" t="s">
        <v>5</v>
      </c>
      <c r="H12" s="1"/>
      <c r="J12" s="8"/>
      <c r="K12" s="10"/>
      <c r="L12" s="8"/>
      <c r="M12" s="9"/>
    </row>
    <row r="13" spans="1:13" ht="15" x14ac:dyDescent="0.3">
      <c r="A13" t="s">
        <v>6</v>
      </c>
      <c r="H13" s="1"/>
      <c r="J13" s="8"/>
      <c r="K13" s="10"/>
      <c r="L13" s="8"/>
      <c r="M13" s="9"/>
    </row>
    <row r="14" spans="1:13" x14ac:dyDescent="0.35">
      <c r="A14" t="s">
        <v>7</v>
      </c>
      <c r="B14" t="s">
        <v>8</v>
      </c>
      <c r="C14">
        <v>45</v>
      </c>
      <c r="D14" t="s">
        <v>9</v>
      </c>
      <c r="E14" s="3">
        <v>55000</v>
      </c>
      <c r="F14" t="s">
        <v>27</v>
      </c>
      <c r="G14">
        <v>1</v>
      </c>
      <c r="H14" s="1">
        <f>E14*C14*G14</f>
        <v>2475000</v>
      </c>
      <c r="I14" t="s">
        <v>9</v>
      </c>
      <c r="J14" s="15">
        <v>38500</v>
      </c>
      <c r="K14" s="12">
        <f>J14*C14*G14</f>
        <v>1732500</v>
      </c>
      <c r="L14" s="15">
        <v>55000</v>
      </c>
      <c r="M14" s="13">
        <f>C14*G14*L14</f>
        <v>2475000</v>
      </c>
    </row>
    <row r="15" spans="1:13" x14ac:dyDescent="0.35">
      <c r="B15" t="s">
        <v>10</v>
      </c>
      <c r="D15" t="s">
        <v>9</v>
      </c>
      <c r="E15">
        <v>0</v>
      </c>
      <c r="F15" t="s">
        <v>27</v>
      </c>
      <c r="G15">
        <v>1</v>
      </c>
      <c r="H15" s="1">
        <f t="shared" ref="H15:H24" si="0">E15*C15*G15</f>
        <v>0</v>
      </c>
      <c r="I15" t="s">
        <v>9</v>
      </c>
      <c r="J15" s="8">
        <v>0</v>
      </c>
      <c r="K15" s="12">
        <f t="shared" ref="K15:K24" si="1">J15*C15*G15</f>
        <v>0</v>
      </c>
      <c r="L15" s="8">
        <v>0</v>
      </c>
      <c r="M15" s="13">
        <f t="shared" ref="M15:M24" si="2">C15*G15*L15</f>
        <v>0</v>
      </c>
    </row>
    <row r="16" spans="1:13" x14ac:dyDescent="0.35">
      <c r="B16" t="s">
        <v>11</v>
      </c>
      <c r="C16">
        <v>80</v>
      </c>
      <c r="D16" t="s">
        <v>9</v>
      </c>
      <c r="E16">
        <v>800</v>
      </c>
      <c r="F16" t="s">
        <v>27</v>
      </c>
      <c r="G16">
        <v>1</v>
      </c>
      <c r="H16" s="1">
        <f t="shared" si="0"/>
        <v>64000</v>
      </c>
      <c r="I16" t="s">
        <v>9</v>
      </c>
      <c r="J16" s="8">
        <v>560</v>
      </c>
      <c r="K16" s="12">
        <f t="shared" si="1"/>
        <v>44800</v>
      </c>
      <c r="L16" s="8">
        <v>400</v>
      </c>
      <c r="M16" s="13">
        <f t="shared" si="2"/>
        <v>32000</v>
      </c>
    </row>
    <row r="17" spans="1:13" ht="15" x14ac:dyDescent="0.3">
      <c r="B17" t="s">
        <v>12</v>
      </c>
      <c r="C17">
        <v>125</v>
      </c>
      <c r="D17" t="s">
        <v>9</v>
      </c>
      <c r="E17" s="3">
        <v>25000</v>
      </c>
      <c r="F17" t="s">
        <v>27</v>
      </c>
      <c r="G17">
        <v>1</v>
      </c>
      <c r="H17" s="1">
        <f t="shared" si="0"/>
        <v>3125000</v>
      </c>
      <c r="I17" t="s">
        <v>9</v>
      </c>
      <c r="J17" s="15">
        <v>17500</v>
      </c>
      <c r="K17" s="12">
        <f t="shared" si="1"/>
        <v>2187500</v>
      </c>
      <c r="L17" s="15">
        <v>20000</v>
      </c>
      <c r="M17" s="13">
        <f t="shared" si="2"/>
        <v>2500000</v>
      </c>
    </row>
    <row r="18" spans="1:13" ht="15" x14ac:dyDescent="0.3">
      <c r="B18" t="s">
        <v>13</v>
      </c>
      <c r="C18">
        <v>200</v>
      </c>
      <c r="D18" t="s">
        <v>9</v>
      </c>
      <c r="E18">
        <v>150</v>
      </c>
      <c r="F18" t="s">
        <v>27</v>
      </c>
      <c r="G18">
        <v>12</v>
      </c>
      <c r="H18" s="1">
        <f t="shared" si="0"/>
        <v>360000</v>
      </c>
      <c r="I18" t="s">
        <v>9</v>
      </c>
      <c r="J18" s="8">
        <v>105</v>
      </c>
      <c r="K18" s="12">
        <f t="shared" si="1"/>
        <v>252000</v>
      </c>
      <c r="L18" s="8">
        <v>150</v>
      </c>
      <c r="M18" s="13">
        <f t="shared" si="2"/>
        <v>360000</v>
      </c>
    </row>
    <row r="19" spans="1:13" x14ac:dyDescent="0.35">
      <c r="B19" t="s">
        <v>14</v>
      </c>
      <c r="C19">
        <v>80</v>
      </c>
      <c r="D19" t="s">
        <v>25</v>
      </c>
      <c r="E19">
        <v>256</v>
      </c>
      <c r="F19" t="s">
        <v>28</v>
      </c>
      <c r="G19">
        <v>12</v>
      </c>
      <c r="H19" s="1">
        <f t="shared" si="0"/>
        <v>245760</v>
      </c>
      <c r="I19" t="s">
        <v>9</v>
      </c>
      <c r="J19" s="8">
        <v>180</v>
      </c>
      <c r="K19" s="12">
        <f t="shared" si="1"/>
        <v>172800</v>
      </c>
      <c r="L19" s="8">
        <v>125</v>
      </c>
      <c r="M19" s="13">
        <f t="shared" si="2"/>
        <v>120000</v>
      </c>
    </row>
    <row r="20" spans="1:13" ht="15" x14ac:dyDescent="0.3">
      <c r="A20" t="s">
        <v>15</v>
      </c>
      <c r="B20" t="s">
        <v>16</v>
      </c>
      <c r="C20">
        <v>250</v>
      </c>
      <c r="D20" t="s">
        <v>9</v>
      </c>
      <c r="E20">
        <v>800</v>
      </c>
      <c r="F20" t="s">
        <v>27</v>
      </c>
      <c r="G20">
        <v>10</v>
      </c>
      <c r="H20" s="1">
        <f t="shared" si="0"/>
        <v>2000000</v>
      </c>
      <c r="I20" t="s">
        <v>9</v>
      </c>
      <c r="J20" s="8">
        <v>560</v>
      </c>
      <c r="K20" s="12">
        <f t="shared" si="1"/>
        <v>1400000</v>
      </c>
      <c r="L20" s="8">
        <v>600</v>
      </c>
      <c r="M20" s="13">
        <f t="shared" si="2"/>
        <v>1500000</v>
      </c>
    </row>
    <row r="21" spans="1:13" ht="15" x14ac:dyDescent="0.3">
      <c r="A21" t="s">
        <v>17</v>
      </c>
      <c r="B21" t="s">
        <v>18</v>
      </c>
      <c r="C21">
        <v>459</v>
      </c>
      <c r="D21" t="s">
        <v>25</v>
      </c>
      <c r="E21" s="3">
        <v>2500</v>
      </c>
      <c r="F21" t="s">
        <v>28</v>
      </c>
      <c r="G21">
        <v>1</v>
      </c>
      <c r="H21" s="1">
        <f t="shared" si="0"/>
        <v>1147500</v>
      </c>
      <c r="I21" t="s">
        <v>9</v>
      </c>
      <c r="J21" s="15">
        <v>1750</v>
      </c>
      <c r="K21" s="12">
        <f t="shared" si="1"/>
        <v>803250</v>
      </c>
      <c r="L21" s="15">
        <v>1850</v>
      </c>
      <c r="M21" s="13">
        <f t="shared" si="2"/>
        <v>849150</v>
      </c>
    </row>
    <row r="22" spans="1:13" ht="15" x14ac:dyDescent="0.3">
      <c r="B22" t="s">
        <v>19</v>
      </c>
      <c r="C22">
        <v>600</v>
      </c>
      <c r="D22" t="s">
        <v>25</v>
      </c>
      <c r="E22">
        <v>500</v>
      </c>
      <c r="F22" t="s">
        <v>28</v>
      </c>
      <c r="G22">
        <v>1</v>
      </c>
      <c r="H22" s="1">
        <f t="shared" si="0"/>
        <v>300000</v>
      </c>
      <c r="I22" t="s">
        <v>9</v>
      </c>
      <c r="J22" s="8">
        <v>350</v>
      </c>
      <c r="K22" s="12">
        <f t="shared" si="1"/>
        <v>210000</v>
      </c>
      <c r="L22" s="8">
        <v>50</v>
      </c>
      <c r="M22" s="13">
        <f t="shared" si="2"/>
        <v>30000</v>
      </c>
    </row>
    <row r="23" spans="1:13" ht="15" x14ac:dyDescent="0.3">
      <c r="B23" t="s">
        <v>20</v>
      </c>
      <c r="C23" s="3">
        <v>25000</v>
      </c>
      <c r="D23" t="s">
        <v>9</v>
      </c>
      <c r="E23">
        <v>1</v>
      </c>
      <c r="F23" t="s">
        <v>29</v>
      </c>
      <c r="G23">
        <v>12</v>
      </c>
      <c r="H23" s="1">
        <f t="shared" si="0"/>
        <v>300000</v>
      </c>
      <c r="I23" t="s">
        <v>9</v>
      </c>
      <c r="J23" s="8">
        <v>1</v>
      </c>
      <c r="K23" s="12">
        <f>J23*C23*G23*0.7</f>
        <v>210000</v>
      </c>
      <c r="L23" s="8">
        <v>1</v>
      </c>
      <c r="M23" s="13">
        <f>C23*G23*L23*0.25</f>
        <v>75000</v>
      </c>
    </row>
    <row r="24" spans="1:13" x14ac:dyDescent="0.35">
      <c r="A24" t="s">
        <v>21</v>
      </c>
      <c r="B24" t="s">
        <v>22</v>
      </c>
      <c r="C24">
        <v>320</v>
      </c>
      <c r="D24" t="s">
        <v>26</v>
      </c>
      <c r="E24" s="1">
        <v>7117.5</v>
      </c>
      <c r="F24" t="s">
        <v>27</v>
      </c>
      <c r="G24">
        <v>1</v>
      </c>
      <c r="H24" s="1">
        <f t="shared" si="0"/>
        <v>2277600</v>
      </c>
      <c r="I24" t="s">
        <v>9</v>
      </c>
      <c r="J24" s="16">
        <v>4982.04</v>
      </c>
      <c r="K24" s="12">
        <f t="shared" si="1"/>
        <v>1594252.8</v>
      </c>
      <c r="L24" s="16">
        <v>6000</v>
      </c>
      <c r="M24" s="13">
        <f t="shared" si="2"/>
        <v>1920000</v>
      </c>
    </row>
    <row r="25" spans="1:13" x14ac:dyDescent="0.35">
      <c r="A25" t="s">
        <v>23</v>
      </c>
      <c r="B25" t="s">
        <v>24</v>
      </c>
      <c r="H25" s="2">
        <v>1000000</v>
      </c>
      <c r="I25" t="s">
        <v>9</v>
      </c>
      <c r="J25" s="8"/>
      <c r="K25" s="17">
        <v>700000</v>
      </c>
      <c r="L25" s="8"/>
      <c r="M25" s="17">
        <v>700000</v>
      </c>
    </row>
    <row r="26" spans="1:13" x14ac:dyDescent="0.35">
      <c r="G26" s="4" t="s">
        <v>30</v>
      </c>
      <c r="H26" s="5">
        <f>SUM(H14:H25)</f>
        <v>13294860</v>
      </c>
      <c r="I26" t="s">
        <v>9</v>
      </c>
      <c r="J26" s="8"/>
      <c r="K26" s="18">
        <f>SUM(K14:K25)</f>
        <v>9307102.8000000007</v>
      </c>
      <c r="L26" s="8"/>
      <c r="M26" s="19">
        <f>SUM(M14:M25)</f>
        <v>10561150</v>
      </c>
    </row>
    <row r="27" spans="1:13" ht="15" x14ac:dyDescent="0.3">
      <c r="G27" s="4"/>
      <c r="H27" s="5"/>
      <c r="J27" s="8"/>
      <c r="K27" s="10"/>
      <c r="L27" s="8"/>
      <c r="M27" s="9"/>
    </row>
    <row r="28" spans="1:13" x14ac:dyDescent="0.35">
      <c r="A28" t="s">
        <v>32</v>
      </c>
      <c r="G28" s="4" t="s">
        <v>33</v>
      </c>
      <c r="H28" s="5">
        <v>17332368</v>
      </c>
      <c r="I28" t="s">
        <v>9</v>
      </c>
      <c r="J28" s="8"/>
      <c r="K28" s="18">
        <f>+H28</f>
        <v>17332368</v>
      </c>
      <c r="L28" s="8"/>
      <c r="M28" s="19">
        <f>+H28</f>
        <v>17332368</v>
      </c>
    </row>
    <row r="29" spans="1:13" x14ac:dyDescent="0.35">
      <c r="H29" s="1"/>
      <c r="J29" s="8"/>
      <c r="K29" s="18"/>
      <c r="L29" s="8"/>
      <c r="M29" s="19"/>
    </row>
    <row r="30" spans="1:13" x14ac:dyDescent="0.35">
      <c r="G30" s="4" t="s">
        <v>34</v>
      </c>
      <c r="H30" s="21">
        <f>SUM(H26:H28)</f>
        <v>30627228</v>
      </c>
      <c r="I30" t="s">
        <v>9</v>
      </c>
      <c r="J30" s="8"/>
      <c r="K30" s="22">
        <f>+K26+K28</f>
        <v>26639470.800000001</v>
      </c>
      <c r="L30" s="8"/>
      <c r="M30" s="22">
        <f>+M26+M28</f>
        <v>27893518</v>
      </c>
    </row>
    <row r="31" spans="1:13" x14ac:dyDescent="0.35">
      <c r="J31" s="8"/>
      <c r="K31" s="18"/>
      <c r="L31" s="8"/>
      <c r="M31" s="19"/>
    </row>
    <row r="32" spans="1:13" x14ac:dyDescent="0.35">
      <c r="G32" s="4" t="s">
        <v>35</v>
      </c>
      <c r="H32" s="5">
        <f>+H11</f>
        <v>19569675</v>
      </c>
      <c r="I32" t="s">
        <v>9</v>
      </c>
      <c r="J32" s="8"/>
      <c r="K32" s="18">
        <f>+K11</f>
        <v>19569675</v>
      </c>
      <c r="L32" s="8"/>
      <c r="M32" s="19">
        <f>+M11</f>
        <v>19569675</v>
      </c>
    </row>
    <row r="33" spans="2:13" x14ac:dyDescent="0.35">
      <c r="G33" s="4" t="s">
        <v>36</v>
      </c>
      <c r="H33" s="5">
        <v>7546927</v>
      </c>
      <c r="I33" t="s">
        <v>9</v>
      </c>
      <c r="J33" s="8"/>
      <c r="K33" s="18">
        <f>+H33</f>
        <v>7546927</v>
      </c>
      <c r="L33" s="8"/>
      <c r="M33" s="19">
        <f>+H33</f>
        <v>7546927</v>
      </c>
    </row>
    <row r="34" spans="2:13" ht="31.65" customHeight="1" thickBot="1" x14ac:dyDescent="0.4">
      <c r="G34" s="4" t="s">
        <v>37</v>
      </c>
      <c r="H34" s="7">
        <f>+H30-H32-H33</f>
        <v>3510626</v>
      </c>
      <c r="I34" t="s">
        <v>9</v>
      </c>
      <c r="J34" s="8"/>
      <c r="K34" s="18">
        <f>+K30-K32-K33</f>
        <v>-477131.19999999925</v>
      </c>
      <c r="L34" s="8"/>
      <c r="M34" s="20">
        <f>+M30-M32-M33</f>
        <v>776916</v>
      </c>
    </row>
    <row r="35" spans="2:13" ht="15" thickTop="1" x14ac:dyDescent="0.35">
      <c r="H35" s="5"/>
      <c r="I35" s="11"/>
      <c r="J35" s="10"/>
      <c r="K35" s="11"/>
      <c r="L35" s="10"/>
      <c r="M35" s="10"/>
    </row>
    <row r="36" spans="2:13" x14ac:dyDescent="0.35">
      <c r="B36" t="s">
        <v>45</v>
      </c>
      <c r="M36" s="23">
        <f>125000000*3.25%</f>
        <v>4062500</v>
      </c>
    </row>
    <row r="37" spans="2:13" x14ac:dyDescent="0.35">
      <c r="B37" t="s">
        <v>42</v>
      </c>
      <c r="K37" t="s">
        <v>39</v>
      </c>
      <c r="M37" s="1">
        <f>+M36*3.5%</f>
        <v>142187.5</v>
      </c>
    </row>
  </sheetData>
  <mergeCells count="3">
    <mergeCell ref="J4:K4"/>
    <mergeCell ref="L4:M4"/>
    <mergeCell ref="G4:I4"/>
  </mergeCells>
  <pageMargins left="0.7" right="0.33636363636363636" top="0.40909090909090912" bottom="0.75" header="0.3" footer="0.3"/>
  <pageSetup paperSize="8" orientation="landscape" r:id="rId1"/>
  <headerFooter>
    <oddFooter>&amp;L22. april 21015/dok. nr. 53660-15&amp;Csag nr. 15-4087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7</SortOrder>
    <MeetingStartDate xmlns="d08b57ff-b9b7-4581-975d-98f87b579a51">2015-05-27T12:00:00+00:00</MeetingStartDate>
    <EnclosureFileNumber xmlns="d08b57ff-b9b7-4581-975d-98f87b579a51">53660/15</EnclosureFileNumber>
    <AgendaId xmlns="d08b57ff-b9b7-4581-975d-98f87b579a51">3912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1847397</FusionId>
    <AgendaAccessLevelName xmlns="d08b57ff-b9b7-4581-975d-98f87b579a51">Åben</AgendaAccessLevelName>
    <UNC xmlns="d08b57ff-b9b7-4581-975d-98f87b579a51">1661022</UNC>
    <MeetingTitle xmlns="d08b57ff-b9b7-4581-975d-98f87b579a51">27-05-2015</MeetingTitle>
    <MeetingDateAndTime xmlns="d08b57ff-b9b7-4581-975d-98f87b579a51">27-05-2015 fra 14:00 - 16:30</MeetingDateAndTime>
    <MeetingEndDate xmlns="d08b57ff-b9b7-4581-975d-98f87b579a51">2015-05-27T14:30:00+00:00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3A9C3-8DB6-422D-ADEF-FDCB799634EF}"/>
</file>

<file path=customXml/itemProps2.xml><?xml version="1.0" encoding="utf-8"?>
<ds:datastoreItem xmlns:ds="http://schemas.openxmlformats.org/officeDocument/2006/customXml" ds:itemID="{0F73E124-CE92-4A44-819E-DBC21439EAD7}"/>
</file>

<file path=customXml/itemProps3.xml><?xml version="1.0" encoding="utf-8"?>
<ds:datastoreItem xmlns:ds="http://schemas.openxmlformats.org/officeDocument/2006/customXml" ds:itemID="{F770BD46-4DEC-468F-A624-82E1844AE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ØKE-27-05-2015 - Bilag 510.07 Varde Fritidscenter - følsomhedsanalyse  vedr udvikling af IFV</dc:title>
  <dc:creator>ryk7ig</dc:creator>
  <cp:lastModifiedBy>Jørn Pedersen</cp:lastModifiedBy>
  <cp:lastPrinted>2015-05-20T11:18:06Z</cp:lastPrinted>
  <dcterms:created xsi:type="dcterms:W3CDTF">2015-04-19T07:26:10Z</dcterms:created>
  <dcterms:modified xsi:type="dcterms:W3CDTF">2015-05-22T08:43:35Z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